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d\Pictures\RadioCorner\Articles\"/>
    </mc:Choice>
  </mc:AlternateContent>
  <xr:revisionPtr revIDLastSave="0" documentId="13_ncr:1_{74C266D8-B181-467D-BF1F-C2A4FE69AF0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illOut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A19" i="1" l="1"/>
  <c r="C20" i="1" l="1"/>
  <c r="D6" i="1"/>
  <c r="A17" i="1"/>
  <c r="A4" i="1"/>
  <c r="C21" i="1"/>
  <c r="A21" i="1"/>
  <c r="A22" i="1" l="1"/>
  <c r="A23" i="1"/>
  <c r="A32" i="1"/>
  <c r="C32" i="1"/>
  <c r="C8" i="1"/>
  <c r="B8" i="1"/>
  <c r="A24" i="1"/>
  <c r="A20" i="1"/>
  <c r="A18" i="1"/>
  <c r="A28" i="1"/>
  <c r="A15" i="1"/>
  <c r="A14" i="1"/>
  <c r="A13" i="1"/>
  <c r="A12" i="1"/>
  <c r="C14" i="1"/>
  <c r="D8" i="1"/>
  <c r="C30" i="1"/>
  <c r="A30" i="1"/>
  <c r="A29" i="1"/>
  <c r="A11" i="1"/>
  <c r="A10" i="1"/>
  <c r="A9" i="1"/>
  <c r="A6" i="1"/>
  <c r="A1" i="1"/>
  <c r="C15" i="1" l="1"/>
  <c r="C22" i="1"/>
  <c r="C23" i="1" s="1"/>
  <c r="C26" i="1" l="1"/>
  <c r="A26" i="1"/>
  <c r="A25" i="1"/>
  <c r="C24" i="1"/>
</calcChain>
</file>

<file path=xl/sharedStrings.xml><?xml version="1.0" encoding="utf-8"?>
<sst xmlns="http://schemas.openxmlformats.org/spreadsheetml/2006/main" count="40" uniqueCount="32">
  <si>
    <t>N</t>
  </si>
  <si>
    <t>F</t>
  </si>
  <si>
    <t>kHz</t>
  </si>
  <si>
    <t>λ</t>
  </si>
  <si>
    <t>c</t>
  </si>
  <si>
    <t>µ</t>
  </si>
  <si>
    <t>H/m</t>
  </si>
  <si>
    <t>m/s</t>
  </si>
  <si>
    <t>m</t>
  </si>
  <si>
    <t>C</t>
  </si>
  <si>
    <t>pF</t>
  </si>
  <si>
    <t>L</t>
  </si>
  <si>
    <t>µH</t>
  </si>
  <si>
    <t>f</t>
  </si>
  <si>
    <t>S</t>
  </si>
  <si>
    <t>l</t>
  </si>
  <si>
    <t>d</t>
  </si>
  <si>
    <t>cm</t>
  </si>
  <si>
    <t>A</t>
  </si>
  <si>
    <t>m^2</t>
  </si>
  <si>
    <t>-</t>
  </si>
  <si>
    <t>e/n</t>
  </si>
  <si>
    <t>W</t>
  </si>
  <si>
    <t>Nederlands (N) / English (E)</t>
  </si>
  <si>
    <t>c/v/a</t>
  </si>
  <si>
    <t>mm</t>
  </si>
  <si>
    <t>δ</t>
  </si>
  <si>
    <t>ρ</t>
  </si>
  <si>
    <t>Z</t>
  </si>
  <si>
    <t>Ohm</t>
  </si>
  <si>
    <t>n</t>
  </si>
  <si>
    <t>amateurloop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</si>
</sst>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Fill="1"/>
    <xf numFmtId="0" fontId="4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22" workbookViewId="0">
      <selection activeCell="A26" sqref="A26"/>
    </sheetView>
  </sheetViews>
  <sheetFormatPr defaultRowHeight="21" x14ac:dyDescent="0.35"/>
  <cols>
    <col min="1" max="1" width="57.85546875" style="1" bestFit="1" customWidth="1"/>
    <col min="2" max="2" width="4.28515625" style="13" customWidth="1"/>
    <col min="3" max="3" width="17" style="6" customWidth="1"/>
    <col min="4" max="4" width="7.85546875" style="1" customWidth="1"/>
    <col min="5" max="16384" width="9.140625" style="1"/>
  </cols>
  <sheetData>
    <row r="1" spans="1:5" ht="27" customHeight="1" x14ac:dyDescent="0.35">
      <c r="A1" s="24" t="str">
        <f>C6</f>
        <v>amateurloop</v>
      </c>
      <c r="B1" s="25"/>
      <c r="C1" s="25"/>
      <c r="D1" s="26"/>
    </row>
    <row r="2" spans="1:5" ht="17.25" customHeight="1" x14ac:dyDescent="0.35"/>
    <row r="3" spans="1:5" x14ac:dyDescent="0.35">
      <c r="A3" s="1" t="s">
        <v>23</v>
      </c>
      <c r="C3" s="2" t="s">
        <v>30</v>
      </c>
      <c r="D3" s="1" t="s">
        <v>21</v>
      </c>
    </row>
    <row r="4" spans="1:5" x14ac:dyDescent="0.35">
      <c r="A4" s="27" t="str">
        <f>IF(C3="n","Vul op de gele plekken de gegevens in van je antenneproject.","Enter information about your antenna project in the yellow cells.")</f>
        <v>Vul op de gele plekken de gegevens in van je antenneproject.</v>
      </c>
      <c r="B4" s="27"/>
      <c r="C4" s="27"/>
      <c r="D4" s="27"/>
    </row>
    <row r="5" spans="1:5" x14ac:dyDescent="0.35">
      <c r="A5" s="13"/>
      <c r="C5" s="13"/>
      <c r="D5" s="13"/>
    </row>
    <row r="6" spans="1:5" x14ac:dyDescent="0.35">
      <c r="A6" s="1" t="str">
        <f>IF($C$3="N","De naam van je antenneproject","The name of your antenna project")</f>
        <v>De naam van je antenneproject</v>
      </c>
      <c r="C6" s="21" t="s">
        <v>31</v>
      </c>
      <c r="D6" s="20" t="str">
        <f>IF(C3="n","Tekst","Text")</f>
        <v>Tekst</v>
      </c>
    </row>
    <row r="7" spans="1:5" x14ac:dyDescent="0.35">
      <c r="B7" s="10"/>
      <c r="C7" s="10"/>
      <c r="D7" s="10"/>
    </row>
    <row r="8" spans="1:5" x14ac:dyDescent="0.35">
      <c r="B8" s="3" t="str">
        <f>IF(C3="n","Symbool","Symbol")</f>
        <v>Symbool</v>
      </c>
      <c r="C8" s="4" t="str">
        <f>IF(C3="n","Waarde","Value")</f>
        <v>Waarde</v>
      </c>
      <c r="D8" s="5" t="str">
        <f>IF(C3="n","Eenheid","Unit")</f>
        <v>Eenheid</v>
      </c>
    </row>
    <row r="9" spans="1:5" x14ac:dyDescent="0.35">
      <c r="A9" s="1" t="str">
        <f>IF($C$3="N","Geef hier je LAAGSTE frequentie","Enter here your LOWEST frequency")</f>
        <v>Geef hier je LAAGSTE frequentie</v>
      </c>
      <c r="B9" s="13" t="s">
        <v>1</v>
      </c>
      <c r="C9" s="2"/>
      <c r="D9" s="1" t="s">
        <v>2</v>
      </c>
    </row>
    <row r="10" spans="1:5" x14ac:dyDescent="0.35">
      <c r="A10" s="1" t="str">
        <f>IF($C$3="N","OF geef hier je GROOTSTE golflengte","OR enter your LONGEST wavelength here")</f>
        <v>OF geef hier je GROOTSTE golflengte</v>
      </c>
      <c r="B10" s="14" t="s">
        <v>3</v>
      </c>
      <c r="C10" s="2">
        <v>90</v>
      </c>
      <c r="D10" s="1" t="s">
        <v>8</v>
      </c>
    </row>
    <row r="11" spans="1:5" x14ac:dyDescent="0.35">
      <c r="A11" s="1" t="str">
        <f>IF($C$3="N","De laagste frequentie is","The lowest frequency is")</f>
        <v>De laagste frequentie is</v>
      </c>
      <c r="B11" s="13" t="s">
        <v>1</v>
      </c>
      <c r="C11" s="6">
        <f>IF(C9="",IF(C10="",1,C29/C10/1000),C9)</f>
        <v>3331.027311111111</v>
      </c>
      <c r="D11" s="1" t="s">
        <v>2</v>
      </c>
    </row>
    <row r="12" spans="1:5" x14ac:dyDescent="0.35">
      <c r="A12" s="1" t="str">
        <f>IF($C$3="N","Je maximale capaciteit","Your largest capacity")</f>
        <v>Je maximale capaciteit</v>
      </c>
      <c r="B12" s="13" t="s">
        <v>9</v>
      </c>
      <c r="C12" s="2">
        <v>230</v>
      </c>
      <c r="D12" s="1" t="s">
        <v>10</v>
      </c>
    </row>
    <row r="13" spans="1:5" x14ac:dyDescent="0.35">
      <c r="A13" s="1" t="str">
        <f>IF($C$3="N","Je minimale capaciteit","The smallest capacity")</f>
        <v>Je minimale capaciteit</v>
      </c>
      <c r="B13" s="13" t="s">
        <v>4</v>
      </c>
      <c r="C13" s="2">
        <v>20</v>
      </c>
      <c r="D13" s="1" t="s">
        <v>10</v>
      </c>
    </row>
    <row r="14" spans="1:5" x14ac:dyDescent="0.35">
      <c r="A14" s="1" t="str">
        <f>IF($C$3="N","De zelfinductie van je spoel","Your coil inductance")</f>
        <v>De zelfinductie van je spoel</v>
      </c>
      <c r="B14" s="13" t="s">
        <v>11</v>
      </c>
      <c r="C14" s="17">
        <f>1000000000000/(2*PI()*C11*2*PI()*C11)/C12</f>
        <v>9.9255833406351659</v>
      </c>
      <c r="D14" s="7" t="s">
        <v>12</v>
      </c>
    </row>
    <row r="15" spans="1:5" x14ac:dyDescent="0.35">
      <c r="A15" s="1" t="str">
        <f>IF($C$3="N","Je hoogste frequentie wordt","Your highest frequency will be")</f>
        <v>Je hoogste frequentie wordt</v>
      </c>
      <c r="B15" s="13" t="s">
        <v>13</v>
      </c>
      <c r="C15" s="6">
        <f>FLOOR(1000000/(2*PI()*SQRT(C14*C13)),1)</f>
        <v>11296</v>
      </c>
      <c r="D15" s="7" t="s">
        <v>2</v>
      </c>
    </row>
    <row r="16" spans="1:5" x14ac:dyDescent="0.35">
      <c r="D16" s="7"/>
      <c r="E16" s="8"/>
    </row>
    <row r="17" spans="1:5" x14ac:dyDescent="0.35">
      <c r="A17" s="1" t="str">
        <f>IF($C$3="N","Is de kern V=Vierkant, C=Rond  of A=Anders?","Is your coil V=Square, C=Circular, or A=other?")</f>
        <v>Is de kern V=Vierkant, C=Rond  of A=Anders?</v>
      </c>
      <c r="B17" s="13" t="s">
        <v>14</v>
      </c>
      <c r="C17" s="9" t="s">
        <v>4</v>
      </c>
      <c r="D17" s="7" t="s">
        <v>24</v>
      </c>
      <c r="E17" s="8"/>
    </row>
    <row r="18" spans="1:5" x14ac:dyDescent="0.35">
      <c r="A18" s="1" t="str">
        <f>IF($C$3="N","De " &amp; IF(C17="v","zijde",IF(C17="c","diameter","afmeting")) &amp; " van je antenne","The " &amp; IF(C17="v","side",IF(C17="c","diameter","dimension")) &amp; " of your antenna")</f>
        <v>De diameter van je antenne</v>
      </c>
      <c r="B18" s="13" t="s">
        <v>16</v>
      </c>
      <c r="C18" s="9">
        <v>30</v>
      </c>
      <c r="D18" s="7" t="s">
        <v>17</v>
      </c>
      <c r="E18" s="8"/>
    </row>
    <row r="19" spans="1:5" x14ac:dyDescent="0.35">
      <c r="A19" s="1" t="str">
        <f>IF($C$3="N","De wikkellengte","The winding length")</f>
        <v>De wikkellengte</v>
      </c>
      <c r="B19" s="13" t="s">
        <v>15</v>
      </c>
      <c r="C19" s="9">
        <v>3</v>
      </c>
      <c r="D19" s="7" t="s">
        <v>17</v>
      </c>
    </row>
    <row r="20" spans="1:5" x14ac:dyDescent="0.35">
      <c r="A20" s="1" t="str">
        <f>IF($C$3="N","Je spoeloppervlakte","The coil area")</f>
        <v>Je spoeloppervlakte</v>
      </c>
      <c r="B20" s="13" t="s">
        <v>18</v>
      </c>
      <c r="C20" s="18">
        <f>IF(C17="c",C18*C18*PI()/4/10000,IF(C17="v",C18*C18/10000,"Shape not supported"))</f>
        <v>7.0685834705770348E-2</v>
      </c>
      <c r="D20" s="7" t="s">
        <v>19</v>
      </c>
    </row>
    <row r="21" spans="1:5" x14ac:dyDescent="0.35">
      <c r="A21" s="1" t="str">
        <f>IF($C$3="N","De Rayleigh-factor","The Rayleigh factor")</f>
        <v>De Rayleigh-factor</v>
      </c>
      <c r="B21" s="14" t="s">
        <v>27</v>
      </c>
      <c r="C21" s="15">
        <f>IF(C17="c",LN(4*C18/C19)-1/2+C19*C19/8/C18/C18*(LN(4*C18/C19)+1/4),LN(5*C18/C19)-1/2+C19*C19/12/C18/C18*(LN(5*C18/C19)+1/4))</f>
        <v>3.1938030534315787</v>
      </c>
      <c r="D21" s="7"/>
    </row>
    <row r="22" spans="1:5" x14ac:dyDescent="0.35">
      <c r="A22" s="1" t="str">
        <f>IF($C$3="N","Aantal wikkelingen","Number of turns")</f>
        <v>Aantal wikkelingen</v>
      </c>
      <c r="B22" s="13" t="s">
        <v>0</v>
      </c>
      <c r="C22" s="19">
        <f>IF(C17="c",SQRT(C14*2/C30/C18/C21)/100,SQRT(C14*2/C30/(4/PI()*C18)/C21)/100)</f>
        <v>4.0604427609099289</v>
      </c>
      <c r="D22" s="7" t="s">
        <v>20</v>
      </c>
    </row>
    <row r="23" spans="1:5" x14ac:dyDescent="0.35">
      <c r="A23" s="1" t="str">
        <f>IF($C$3="N","Afstand tussen wikkelingen (spoed)","Spacing between turns")</f>
        <v>Afstand tussen wikkelingen (spoed)</v>
      </c>
      <c r="B23" s="14" t="s">
        <v>26</v>
      </c>
      <c r="C23" s="19">
        <f>10*C19/(C22-1)</f>
        <v>9.8025032139730062</v>
      </c>
      <c r="D23" s="7" t="s">
        <v>25</v>
      </c>
    </row>
    <row r="24" spans="1:5" x14ac:dyDescent="0.35">
      <c r="A24" s="1" t="str">
        <f>IF($C$3="N","Totale draadlengte","Total wire length")</f>
        <v>Totale draadlengte</v>
      </c>
      <c r="B24" s="13" t="s">
        <v>22</v>
      </c>
      <c r="C24" s="16">
        <f>IF(C17="c",PI()*C18,4*C18)*C22/100</f>
        <v>3.8268771443989467</v>
      </c>
      <c r="D24" s="7" t="s">
        <v>8</v>
      </c>
    </row>
    <row r="25" spans="1:5" x14ac:dyDescent="0.35">
      <c r="A25" s="1" t="str">
        <f>IF(C22&lt;=10,IF(C3="n","Waarschuwing: Omdat N&lt;10, kan de stroombladbenadering onnauwkeurig zijn!","Warning: As N&lt;10. the current sheet approximation may be inaccurate!"),"")</f>
        <v>Waarschuwing: Omdat N&lt;10, kan de stroombladbenadering onnauwkeurig zijn!</v>
      </c>
    </row>
    <row r="26" spans="1:5" x14ac:dyDescent="0.35">
      <c r="A26" s="1" t="str">
        <f>IF($C$3="n","Karakteristieke impedantie (bij " &amp; ROUND((C11+C15)/2,0) &amp; "kHz)","Characteristic impedance (at " &amp; ROUND((C11+C15)/2,0) &amp; "kHz)")</f>
        <v>Karakteristieke impedantie (bij 7314kHz)</v>
      </c>
      <c r="B26" s="22" t="s">
        <v>28</v>
      </c>
      <c r="C26" s="23">
        <f>2*PI()*(C11+C15)/2*C14/1000</f>
        <v>456.10200909170857</v>
      </c>
      <c r="D26" s="1" t="s">
        <v>29</v>
      </c>
    </row>
    <row r="28" spans="1:5" x14ac:dyDescent="0.35">
      <c r="A28" s="5" t="str">
        <f>IF($C$3="N","Natuurconstanten","Physical constants")</f>
        <v>Natuurconstanten</v>
      </c>
    </row>
    <row r="29" spans="1:5" x14ac:dyDescent="0.35">
      <c r="A29" s="1" t="str">
        <f>IF($C$3="N","De lichtsnelheid","The speed of light")</f>
        <v>De lichtsnelheid</v>
      </c>
      <c r="B29" s="13" t="s">
        <v>4</v>
      </c>
      <c r="C29" s="11">
        <v>299792458</v>
      </c>
      <c r="D29" s="1" t="s">
        <v>7</v>
      </c>
    </row>
    <row r="30" spans="1:5" x14ac:dyDescent="0.35">
      <c r="A30" s="1" t="str">
        <f>IF($C$3="N","De permeabiliteit","The permeability")</f>
        <v>De permeabiliteit</v>
      </c>
      <c r="B30" s="14" t="s">
        <v>5</v>
      </c>
      <c r="C30" s="11">
        <f>0.0000004 * PI()</f>
        <v>1.2566370614359173E-6</v>
      </c>
      <c r="D30" s="1" t="s">
        <v>6</v>
      </c>
    </row>
    <row r="31" spans="1:5" x14ac:dyDescent="0.35">
      <c r="C31" s="10"/>
    </row>
    <row r="32" spans="1:5" x14ac:dyDescent="0.35">
      <c r="A32" s="5" t="str">
        <f>IF(C3="n","Berekend op datum","Computed on date")</f>
        <v>Berekend op datum</v>
      </c>
      <c r="C32" s="12">
        <f ca="1">TODAY()</f>
        <v>44328</v>
      </c>
    </row>
  </sheetData>
  <mergeCells count="2">
    <mergeCell ref="A1:D1"/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FillOut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cp:lastPrinted>2017-07-05T08:22:46Z</cp:lastPrinted>
  <dcterms:created xsi:type="dcterms:W3CDTF">2017-03-10T18:10:52Z</dcterms:created>
  <dcterms:modified xsi:type="dcterms:W3CDTF">2021-05-12T19:36:12Z</dcterms:modified>
</cp:coreProperties>
</file>